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OY-BGW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<sst xmlns="http://schemas.openxmlformats.org/spreadsheetml/2006/main" count="89" uniqueCount="74">
  <si>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over 50 ft. Obstacle</t>
  </si>
  <si>
    <t>density alt.:</t>
  </si>
  <si>
    <t>density alt.</t>
  </si>
  <si>
    <t>over 50 ft. Obst.</t>
  </si>
  <si>
    <t>Density Altitude (feet)</t>
  </si>
  <si>
    <t>PA</t>
  </si>
  <si>
    <r>
      <t>T</t>
    </r>
    <r>
      <rPr>
        <b/>
        <vertAlign val="subscript"/>
        <sz val="10"/>
        <rFont val="Arial"/>
        <family val="2"/>
      </rPr>
      <t>isa</t>
    </r>
  </si>
  <si>
    <t>Startdistance (til 50') i feet</t>
  </si>
  <si>
    <t>Landingsdistance (fra 50') i feet</t>
  </si>
  <si>
    <t>KORREKTIONER: (if. AIC B 38/02)</t>
  </si>
  <si>
    <t>%</t>
  </si>
  <si>
    <t>Tørt græs (max 20 cm):+20%</t>
  </si>
  <si>
    <t>Fast kort græs (5-10 cm.):+10%</t>
  </si>
  <si>
    <t>Vådt græs (max 20 cm):+30%</t>
  </si>
  <si>
    <t>Blød undergrund el. sne +25%</t>
  </si>
  <si>
    <t>Våd sne, +10% pr. cm, max 5 cm.</t>
  </si>
  <si>
    <t>Meget kort fedtet græs: +60%</t>
  </si>
  <si>
    <t>Frossen sne, +5% pr. cm, max 10 cm.</t>
  </si>
  <si>
    <t>Vind: Medvindskomponent</t>
  </si>
  <si>
    <t>på 10% af finalefart: +20%</t>
  </si>
  <si>
    <t>Temperatur</t>
  </si>
  <si>
    <t>Vægt: +10%</t>
  </si>
  <si>
    <t xml:space="preserve"> + 1 % pr. grad C over 15 grader</t>
  </si>
  <si>
    <t>Hældning nedad: +5% pr.grad</t>
  </si>
  <si>
    <t xml:space="preserve"> + 5% pr.10 grader C over 15 grader</t>
  </si>
  <si>
    <t>KORRIGERERET LANDINGSDISTANCE</t>
  </si>
  <si>
    <t>KRÆVET BANELÆNGDE (faktor 1,43)</t>
  </si>
  <si>
    <t>(BL 5-15)</t>
  </si>
  <si>
    <t>KORRIGERERET STARTDISTANCE</t>
  </si>
  <si>
    <t>KRÆVET BANELÆNGDE (faktor 1,25)</t>
  </si>
  <si>
    <t>Startsted:</t>
  </si>
  <si>
    <t>Landingssted:</t>
  </si>
  <si>
    <t>ekrk</t>
  </si>
  <si>
    <t>Startberegning</t>
  </si>
  <si>
    <t>Landingsberegning</t>
  </si>
  <si>
    <t>Starttabel</t>
  </si>
  <si>
    <t>Landingstabel</t>
  </si>
  <si>
    <t>Aerodrome Elevation i feet:</t>
  </si>
  <si>
    <t>QNH:</t>
  </si>
  <si>
    <t>Temperatur C:</t>
  </si>
  <si>
    <t>Blød overflade +25-50% minimum</t>
  </si>
  <si>
    <t>Langt græs (10-20 cm), +25%</t>
  </si>
  <si>
    <t>Vand/snesjap, +20% pr.cm, max 2,5 cm.</t>
  </si>
  <si>
    <t>Tillæg:</t>
  </si>
  <si>
    <t>Fradrag:</t>
  </si>
  <si>
    <t>START *)</t>
  </si>
  <si>
    <t>LANDING *)</t>
  </si>
  <si>
    <t>KORREKTIONER: (if. AIC B 11/05)</t>
  </si>
  <si>
    <t>Hældning opad på 1% (ca 1:60) +10%</t>
  </si>
  <si>
    <t>Medvind, + 4% pr. WC, ***)</t>
  </si>
  <si>
    <r>
      <t xml:space="preserve">Modvind, ****) </t>
    </r>
    <r>
      <rPr>
        <sz val="8"/>
        <rFont val="Arial"/>
        <family val="2"/>
      </rPr>
      <t>(ellers  - 1% pr. XWC (BL 5-15)</t>
    </r>
    <r>
      <rPr>
        <sz val="10"/>
        <rFont val="Arial"/>
        <family val="0"/>
      </rPr>
      <t>)</t>
    </r>
  </si>
  <si>
    <t>***) Der bør tages udgangspunkt i en medvindskomponent på 150 % i startretningen.</t>
  </si>
  <si>
    <t>****) Brug alene oplysningerne fra flyets håndbog eller undlad helt at fratrække værdier for modvindskomponenten.</t>
  </si>
  <si>
    <t>Landingsdistance (fra 50') i meter **)</t>
  </si>
  <si>
    <t>**)Landingsdistance (fra 50') i meter er beregnet udfra aktuel density altitude</t>
  </si>
  <si>
    <t>Bemærkninger Start:</t>
  </si>
  <si>
    <t>Bemærkninger Landing:</t>
  </si>
  <si>
    <t>Tastefelter</t>
  </si>
  <si>
    <t>Fratræk 1% pr. % under MTOM</t>
  </si>
  <si>
    <t>Startdistance (til 50') iflg. POH i meter **)</t>
  </si>
  <si>
    <t>**)Startdistance (til 50') iflg. POH i meter er beregnet udfra aktuel density altitude</t>
  </si>
  <si>
    <t>OY-BGW</t>
  </si>
  <si>
    <t>Start &amp; Landingsberegning for OY-BGW</t>
  </si>
  <si>
    <t>*)Vægt: max 975 kg; Flaps: 25°; Power: max før bremsen løsnes; Bane: hård, vandret, tør; Vind: nul.</t>
  </si>
  <si>
    <t>Data er RFKs bedste tilnærmelse og skal betragtes som vejledende. Anvendelse sker på pilotens eget ansvar.</t>
  </si>
  <si>
    <t>*)Vægt: max 975 kg; Flaps: 40°; Power: tomgang; Bane: hård, vandret, tør; Vind: nul; Nedbremsning: max.</t>
  </si>
  <si>
    <t>Flyets vægt ml. 975 og 885 kg.</t>
  </si>
  <si>
    <t>Startvægt kg:</t>
  </si>
  <si>
    <t>difference</t>
  </si>
  <si>
    <t>Til C11-C18</t>
  </si>
  <si>
    <t>Flyvægt mlm 975 og 885 kg (ellers MTOM)</t>
  </si>
  <si>
    <t xml:space="preserve">   For flyvægt over 975 kg. kan ikke beregnes. Hvis intet angives eller vægten angives under 885 benyttes 975 kg.</t>
  </si>
  <si>
    <t>Landingsbane i meter (LDA):</t>
  </si>
  <si>
    <t>Startbane i meter (TODA):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</si>
</sst>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color indexed="10"/>
      <name val="Antigoni Med"/>
      <family val="2"/>
    </font>
    <font>
      <b/>
      <sz val="16"/>
      <name val="Arial"/>
      <family val="2"/>
    </font>
    <font>
      <sz val="11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1"/>
      </left>
      <right style="thin">
        <color indexed="9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9"/>
      </top>
      <bottom style="thin">
        <color indexed="2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3" fontId="0" fillId="0" borderId="7" xfId="0" applyNumberForma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2" xfId="0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17" xfId="0" applyNumberFormat="1" applyFill="1" applyBorder="1" applyAlignment="1">
      <alignment/>
    </xf>
    <xf numFmtId="0" fontId="3" fillId="2" borderId="18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3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3" fontId="0" fillId="3" borderId="24" xfId="0" applyNumberFormat="1" applyFill="1" applyBorder="1" applyAlignment="1">
      <alignment/>
    </xf>
    <xf numFmtId="3" fontId="0" fillId="3" borderId="25" xfId="0" applyNumberFormat="1" applyFill="1" applyBorder="1" applyAlignment="1">
      <alignment/>
    </xf>
    <xf numFmtId="0" fontId="0" fillId="2" borderId="26" xfId="0" applyFill="1" applyBorder="1" applyAlignment="1">
      <alignment/>
    </xf>
    <xf numFmtId="3" fontId="0" fillId="2" borderId="27" xfId="0" applyNumberForma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3" borderId="26" xfId="0" applyFill="1" applyBorder="1" applyAlignment="1">
      <alignment/>
    </xf>
    <xf numFmtId="3" fontId="0" fillId="3" borderId="33" xfId="0" applyNumberFormat="1" applyFill="1" applyBorder="1" applyAlignment="1">
      <alignment/>
    </xf>
    <xf numFmtId="3" fontId="0" fillId="3" borderId="34" xfId="0" applyNumberFormat="1" applyFill="1" applyBorder="1" applyAlignment="1">
      <alignment/>
    </xf>
    <xf numFmtId="3" fontId="0" fillId="3" borderId="35" xfId="0" applyNumberFormat="1" applyFill="1" applyBorder="1" applyAlignment="1">
      <alignment/>
    </xf>
    <xf numFmtId="0" fontId="5" fillId="4" borderId="0" xfId="0" applyFont="1" applyFill="1" applyAlignment="1">
      <alignment/>
    </xf>
    <xf numFmtId="0" fontId="0" fillId="5" borderId="26" xfId="0" applyFill="1" applyBorder="1" applyAlignment="1">
      <alignment/>
    </xf>
    <xf numFmtId="3" fontId="0" fillId="5" borderId="33" xfId="0" applyNumberFormat="1" applyFill="1" applyBorder="1" applyAlignment="1">
      <alignment/>
    </xf>
    <xf numFmtId="0" fontId="0" fillId="5" borderId="28" xfId="0" applyFill="1" applyBorder="1" applyAlignment="1">
      <alignment/>
    </xf>
    <xf numFmtId="3" fontId="0" fillId="5" borderId="34" xfId="0" applyNumberFormat="1" applyFill="1" applyBorder="1" applyAlignment="1">
      <alignment/>
    </xf>
    <xf numFmtId="0" fontId="0" fillId="5" borderId="36" xfId="0" applyFill="1" applyBorder="1" applyAlignment="1">
      <alignment/>
    </xf>
    <xf numFmtId="3" fontId="0" fillId="5" borderId="35" xfId="0" applyNumberFormat="1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3" fontId="0" fillId="3" borderId="39" xfId="0" applyNumberFormat="1" applyFill="1" applyBorder="1" applyAlignment="1">
      <alignment/>
    </xf>
    <xf numFmtId="0" fontId="0" fillId="4" borderId="0" xfId="0" applyFill="1" applyAlignment="1">
      <alignment/>
    </xf>
    <xf numFmtId="0" fontId="1" fillId="3" borderId="40" xfId="0" applyFont="1" applyFill="1" applyBorder="1" applyAlignment="1">
      <alignment/>
    </xf>
    <xf numFmtId="0" fontId="1" fillId="2" borderId="41" xfId="0" applyFont="1" applyFill="1" applyBorder="1" applyAlignment="1">
      <alignment/>
    </xf>
    <xf numFmtId="0" fontId="1" fillId="3" borderId="42" xfId="0" applyFont="1" applyFill="1" applyBorder="1" applyAlignment="1">
      <alignment textRotation="34"/>
    </xf>
    <xf numFmtId="0" fontId="1" fillId="2" borderId="42" xfId="0" applyFont="1" applyFill="1" applyBorder="1" applyAlignment="1">
      <alignment textRotation="34"/>
    </xf>
    <xf numFmtId="0" fontId="0" fillId="2" borderId="0" xfId="0" applyFill="1" applyAlignment="1">
      <alignment horizontal="center"/>
    </xf>
    <xf numFmtId="0" fontId="0" fillId="3" borderId="43" xfId="0" applyFill="1" applyBorder="1" applyAlignment="1">
      <alignment/>
    </xf>
    <xf numFmtId="0" fontId="0" fillId="3" borderId="44" xfId="0" applyFill="1" applyBorder="1" applyAlignment="1">
      <alignment/>
    </xf>
    <xf numFmtId="0" fontId="0" fillId="3" borderId="44" xfId="0" applyFill="1" applyBorder="1" applyAlignment="1">
      <alignment horizontal="center"/>
    </xf>
    <xf numFmtId="0" fontId="0" fillId="3" borderId="45" xfId="0" applyFill="1" applyBorder="1" applyAlignment="1">
      <alignment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6" borderId="41" xfId="0" applyFill="1" applyBorder="1" applyAlignment="1" applyProtection="1">
      <alignment/>
      <protection locked="0"/>
    </xf>
    <xf numFmtId="3" fontId="0" fillId="6" borderId="41" xfId="0" applyNumberFormat="1" applyFill="1" applyBorder="1" applyAlignment="1" applyProtection="1">
      <alignment/>
      <protection locked="0"/>
    </xf>
    <xf numFmtId="0" fontId="0" fillId="6" borderId="40" xfId="0" applyFill="1" applyBorder="1" applyAlignment="1" applyProtection="1">
      <alignment/>
      <protection locked="0"/>
    </xf>
    <xf numFmtId="3" fontId="0" fillId="6" borderId="40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3" borderId="46" xfId="0" applyFill="1" applyBorder="1" applyAlignment="1" applyProtection="1">
      <alignment/>
      <protection/>
    </xf>
    <xf numFmtId="0" fontId="0" fillId="2" borderId="31" xfId="0" applyFill="1" applyBorder="1" applyAlignment="1" applyProtection="1">
      <alignment/>
      <protection/>
    </xf>
    <xf numFmtId="1" fontId="0" fillId="2" borderId="47" xfId="0" applyNumberFormat="1" applyFill="1" applyBorder="1" applyAlignment="1" applyProtection="1">
      <alignment/>
      <protection/>
    </xf>
    <xf numFmtId="1" fontId="0" fillId="2" borderId="10" xfId="0" applyNumberFormat="1" applyFill="1" applyBorder="1" applyAlignment="1" applyProtection="1">
      <alignment/>
      <protection/>
    </xf>
    <xf numFmtId="1" fontId="0" fillId="3" borderId="48" xfId="0" applyNumberFormat="1" applyFill="1" applyBorder="1" applyAlignment="1" applyProtection="1">
      <alignment/>
      <protection/>
    </xf>
    <xf numFmtId="1" fontId="0" fillId="3" borderId="49" xfId="0" applyNumberFormat="1" applyFill="1" applyBorder="1" applyAlignment="1" applyProtection="1">
      <alignment/>
      <protection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1" fontId="0" fillId="6" borderId="40" xfId="0" applyNumberFormat="1" applyFill="1" applyBorder="1" applyAlignment="1" applyProtection="1">
      <alignment/>
      <protection locked="0"/>
    </xf>
    <xf numFmtId="1" fontId="0" fillId="6" borderId="41" xfId="0" applyNumberFormat="1" applyFill="1" applyBorder="1" applyAlignment="1" applyProtection="1">
      <alignment/>
      <protection locked="0"/>
    </xf>
    <xf numFmtId="1" fontId="0" fillId="2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7" fillId="0" borderId="0" xfId="0" applyFont="1" applyAlignment="1">
      <alignment/>
    </xf>
    <xf numFmtId="3" fontId="0" fillId="3" borderId="44" xfId="0" applyNumberFormat="1" applyFill="1" applyBorder="1" applyAlignment="1">
      <alignment horizontal="center"/>
    </xf>
    <xf numFmtId="0" fontId="0" fillId="2" borderId="5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workbookViewId="0" topLeftCell="A1">
      <selection activeCell="G9" sqref="G9"/>
    </sheetView>
  </sheetViews>
  <sheetFormatPr defaultColWidth="9.140625" defaultRowHeight="12.75"/>
  <cols>
    <col min="1" max="1" width="7.28125" style="0" customWidth="1"/>
    <col min="2" max="2" width="38.7109375" style="0" customWidth="1"/>
    <col min="3" max="3" width="10.140625" style="0" customWidth="1"/>
    <col min="4" max="4" width="5.7109375" style="0" customWidth="1"/>
    <col min="5" max="5" width="7.7109375" style="0" customWidth="1"/>
    <col min="6" max="6" width="33.8515625" style="0" customWidth="1"/>
    <col min="7" max="7" width="10.140625" style="0" customWidth="1"/>
    <col min="9" max="9" width="23.57421875" style="0" customWidth="1"/>
    <col min="10" max="10" width="5.57421875" style="0" customWidth="1"/>
  </cols>
  <sheetData>
    <row r="1" ht="20.25">
      <c r="B1" s="77" t="s">
        <v>62</v>
      </c>
    </row>
    <row r="2" ht="14.25">
      <c r="B2" s="98" t="s">
        <v>64</v>
      </c>
    </row>
    <row r="4" spans="3:7" ht="12.75">
      <c r="C4" s="68" t="s">
        <v>57</v>
      </c>
      <c r="G4" s="69" t="s">
        <v>57</v>
      </c>
    </row>
    <row r="5" spans="2:7" ht="12.75">
      <c r="B5" s="17" t="s">
        <v>30</v>
      </c>
      <c r="C5" s="81" t="s">
        <v>32</v>
      </c>
      <c r="F5" s="21" t="s">
        <v>31</v>
      </c>
      <c r="G5" s="79"/>
    </row>
    <row r="6" spans="2:7" ht="12.75">
      <c r="B6" s="19" t="s">
        <v>73</v>
      </c>
      <c r="C6" s="81">
        <v>1500</v>
      </c>
      <c r="F6" s="78" t="s">
        <v>72</v>
      </c>
      <c r="G6" s="79"/>
    </row>
    <row r="7" spans="2:7" ht="12.75">
      <c r="B7" s="17" t="s">
        <v>37</v>
      </c>
      <c r="C7" s="82">
        <v>146</v>
      </c>
      <c r="F7" s="21" t="s">
        <v>37</v>
      </c>
      <c r="G7" s="80"/>
    </row>
    <row r="8" spans="2:7" ht="12.75">
      <c r="B8" s="19" t="s">
        <v>38</v>
      </c>
      <c r="C8" s="94">
        <v>1013</v>
      </c>
      <c r="F8" s="78" t="s">
        <v>38</v>
      </c>
      <c r="G8" s="95">
        <v>1013</v>
      </c>
    </row>
    <row r="9" spans="2:7" ht="12.75">
      <c r="B9" s="20" t="s">
        <v>39</v>
      </c>
      <c r="C9" s="82">
        <v>15</v>
      </c>
      <c r="F9" s="22" t="s">
        <v>39</v>
      </c>
      <c r="G9" s="80">
        <v>15</v>
      </c>
    </row>
    <row r="10" spans="2:7" ht="12.75">
      <c r="B10" s="19" t="s">
        <v>70</v>
      </c>
      <c r="C10" s="82"/>
      <c r="G10" s="1"/>
    </row>
    <row r="11" spans="1:5" ht="41.25">
      <c r="A11" s="71" t="s">
        <v>57</v>
      </c>
      <c r="E11" s="70" t="s">
        <v>57</v>
      </c>
    </row>
    <row r="12" spans="1:7" ht="15.75">
      <c r="A12" s="18"/>
      <c r="B12" s="31" t="str">
        <f>UPPER(C5)</f>
        <v>EKRK</v>
      </c>
      <c r="C12" s="28"/>
      <c r="E12" s="73"/>
      <c r="F12" s="34">
        <f>UPPER(G5)</f>
      </c>
      <c r="G12" s="35"/>
    </row>
    <row r="13" spans="1:7" ht="12.75">
      <c r="A13" s="18"/>
      <c r="B13" s="16"/>
      <c r="C13" s="29"/>
      <c r="E13" s="73"/>
      <c r="F13" s="33"/>
      <c r="G13" s="35"/>
    </row>
    <row r="14" spans="1:7" ht="12.75">
      <c r="A14" s="18"/>
      <c r="B14" s="32" t="s">
        <v>45</v>
      </c>
      <c r="C14" s="30"/>
      <c r="E14" s="73"/>
      <c r="F14" s="36" t="s">
        <v>46</v>
      </c>
      <c r="G14" s="35"/>
    </row>
    <row r="15" spans="1:7" ht="12.75">
      <c r="A15" s="23"/>
      <c r="B15" s="39" t="s">
        <v>7</v>
      </c>
      <c r="C15" s="27">
        <f>C16*3.3</f>
        <v>1750.6228079999998</v>
      </c>
      <c r="E15" s="74"/>
      <c r="F15" s="41" t="s">
        <v>8</v>
      </c>
      <c r="G15" s="43">
        <f>G16*3.3</f>
        <v>1188</v>
      </c>
    </row>
    <row r="16" spans="1:7" ht="12.75">
      <c r="A16" s="23"/>
      <c r="B16" s="40" t="s">
        <v>59</v>
      </c>
      <c r="C16" s="26">
        <f>'OY-BGW'!C68</f>
        <v>530.49176</v>
      </c>
      <c r="E16" s="74"/>
      <c r="F16" s="42" t="s">
        <v>53</v>
      </c>
      <c r="G16" s="44">
        <f>'OY-BGW'!H68</f>
        <v>360</v>
      </c>
    </row>
    <row r="17" spans="1:7" ht="12.75">
      <c r="A17" s="23"/>
      <c r="B17" s="23"/>
      <c r="C17" s="24"/>
      <c r="E17" s="74"/>
      <c r="F17" s="33"/>
      <c r="G17" s="35"/>
    </row>
    <row r="18" spans="1:7" ht="12.75">
      <c r="A18" s="23"/>
      <c r="B18" s="23" t="s">
        <v>9</v>
      </c>
      <c r="C18" s="24"/>
      <c r="E18" s="74"/>
      <c r="F18" s="33" t="s">
        <v>47</v>
      </c>
      <c r="G18" s="35"/>
    </row>
    <row r="19" spans="1:9" ht="12.75">
      <c r="A19" s="72" t="s">
        <v>10</v>
      </c>
      <c r="B19" s="23"/>
      <c r="C19" s="24"/>
      <c r="E19" s="75" t="s">
        <v>10</v>
      </c>
      <c r="F19" s="33"/>
      <c r="G19" s="35"/>
      <c r="H19" s="2"/>
      <c r="I19" s="2"/>
    </row>
    <row r="20" spans="1:9" ht="12.75">
      <c r="A20" s="23"/>
      <c r="B20" s="25" t="s">
        <v>43</v>
      </c>
      <c r="C20" s="24"/>
      <c r="E20" s="74"/>
      <c r="F20" s="33"/>
      <c r="G20" s="35"/>
      <c r="H20" s="2"/>
      <c r="I20" s="2"/>
    </row>
    <row r="21" spans="1:9" ht="12.75">
      <c r="A21" s="81"/>
      <c r="B21" s="49" t="s">
        <v>12</v>
      </c>
      <c r="C21" s="46">
        <f>C16*(1+(A21/100))</f>
        <v>530.49176</v>
      </c>
      <c r="E21" s="79"/>
      <c r="F21" s="63" t="s">
        <v>11</v>
      </c>
      <c r="G21" s="53">
        <f>G16*(1+(E21/100))</f>
        <v>360</v>
      </c>
      <c r="H21" s="2"/>
      <c r="I21" s="2"/>
    </row>
    <row r="22" spans="1:7" ht="12.75">
      <c r="A22" s="81"/>
      <c r="B22" s="16" t="s">
        <v>41</v>
      </c>
      <c r="C22" s="29">
        <f>C21*(1+(A22/100))</f>
        <v>530.49176</v>
      </c>
      <c r="E22" s="79"/>
      <c r="F22" s="64" t="s">
        <v>13</v>
      </c>
      <c r="G22" s="55">
        <f>G21*(1+(E22/100))</f>
        <v>360</v>
      </c>
    </row>
    <row r="23" spans="1:9" ht="12.75">
      <c r="A23" s="81"/>
      <c r="B23" s="16" t="s">
        <v>40</v>
      </c>
      <c r="C23" s="29">
        <f>C22*(1+(A23/100))</f>
        <v>530.49176</v>
      </c>
      <c r="E23" s="76"/>
      <c r="F23" s="33"/>
      <c r="G23" s="35"/>
      <c r="H23" s="2"/>
      <c r="I23" s="2"/>
    </row>
    <row r="24" spans="1:8" ht="12.75">
      <c r="A24" s="81"/>
      <c r="B24" s="16" t="s">
        <v>42</v>
      </c>
      <c r="C24" s="29">
        <f>C23*(1+(A24/100))</f>
        <v>530.49176</v>
      </c>
      <c r="E24" s="79"/>
      <c r="F24" s="63" t="s">
        <v>14</v>
      </c>
      <c r="G24" s="53">
        <f>G22*(1+(E24/100))</f>
        <v>360</v>
      </c>
      <c r="H24" s="1"/>
    </row>
    <row r="25" spans="1:8" ht="12.75">
      <c r="A25" s="81"/>
      <c r="B25" s="16" t="s">
        <v>15</v>
      </c>
      <c r="C25" s="29">
        <f>C24*(1+(A25/100))</f>
        <v>530.49176</v>
      </c>
      <c r="E25" s="79"/>
      <c r="F25" s="64" t="s">
        <v>16</v>
      </c>
      <c r="G25" s="55">
        <f>G24*(1+(E25/100))</f>
        <v>360</v>
      </c>
      <c r="H25" s="1"/>
    </row>
    <row r="26" spans="1:7" ht="12.75">
      <c r="A26" s="81"/>
      <c r="B26" s="50" t="s">
        <v>17</v>
      </c>
      <c r="C26" s="30">
        <f>C25*(1+(A26/100))</f>
        <v>530.49176</v>
      </c>
      <c r="E26" s="76"/>
      <c r="F26" s="33"/>
      <c r="G26" s="35"/>
    </row>
    <row r="27" spans="1:7" ht="12.75">
      <c r="A27" s="23"/>
      <c r="B27" s="23"/>
      <c r="C27" s="23"/>
      <c r="E27" s="84"/>
      <c r="F27" s="52" t="s">
        <v>18</v>
      </c>
      <c r="G27" s="53"/>
    </row>
    <row r="28" spans="1:7" ht="12.75">
      <c r="A28" s="100">
        <f>IF((C9-15)&gt;0,C9-15,0)</f>
        <v>0</v>
      </c>
      <c r="B28" s="51" t="s">
        <v>22</v>
      </c>
      <c r="C28" s="46">
        <f>C26*(1+(A28/100))</f>
        <v>530.49176</v>
      </c>
      <c r="E28" s="79"/>
      <c r="F28" s="37" t="s">
        <v>19</v>
      </c>
      <c r="G28" s="54">
        <f>G25*(1+(E28/100))</f>
        <v>360</v>
      </c>
    </row>
    <row r="29" spans="1:7" ht="12.75">
      <c r="A29" s="23"/>
      <c r="B29" s="23"/>
      <c r="C29" s="23"/>
      <c r="E29" s="79"/>
      <c r="F29" s="37" t="s">
        <v>21</v>
      </c>
      <c r="G29" s="54">
        <f>G28*(1+(E29/100))</f>
        <v>360</v>
      </c>
    </row>
    <row r="30" spans="1:7" ht="12.75">
      <c r="A30" s="81"/>
      <c r="B30" s="49" t="s">
        <v>48</v>
      </c>
      <c r="C30" s="46">
        <f>C28*(1+(A30/100))</f>
        <v>530.49176</v>
      </c>
      <c r="E30" s="79"/>
      <c r="F30" s="64" t="s">
        <v>23</v>
      </c>
      <c r="G30" s="55">
        <f>G29*(1+(E30/100))</f>
        <v>360</v>
      </c>
    </row>
    <row r="31" spans="1:7" ht="12.75">
      <c r="A31" s="81"/>
      <c r="B31" s="50" t="s">
        <v>49</v>
      </c>
      <c r="C31" s="30">
        <f>C30*(1+(A31/100))</f>
        <v>530.49176</v>
      </c>
      <c r="E31" s="74"/>
      <c r="F31" s="33"/>
      <c r="G31" s="35"/>
    </row>
    <row r="32" spans="1:7" ht="12.75">
      <c r="A32" s="83"/>
      <c r="B32" s="23"/>
      <c r="C32" s="23"/>
      <c r="E32" s="74"/>
      <c r="F32" s="37" t="s">
        <v>20</v>
      </c>
      <c r="G32" s="35"/>
    </row>
    <row r="33" spans="1:7" ht="12.75">
      <c r="A33" s="85"/>
      <c r="B33" s="25" t="s">
        <v>44</v>
      </c>
      <c r="C33" s="24"/>
      <c r="E33" s="99">
        <f>IF((G9-15)&gt;=0,(G9-15)/2,0)</f>
        <v>0</v>
      </c>
      <c r="F33" s="65" t="s">
        <v>24</v>
      </c>
      <c r="G33" s="66">
        <f>G30*(1+(E33/100))</f>
        <v>360</v>
      </c>
    </row>
    <row r="34" spans="1:7" ht="12.75">
      <c r="A34" s="81"/>
      <c r="B34" s="49" t="s">
        <v>58</v>
      </c>
      <c r="C34" s="46">
        <f>C31*(1-(A34/100))</f>
        <v>530.49176</v>
      </c>
      <c r="E34" s="74"/>
      <c r="F34" s="33"/>
      <c r="G34" s="35"/>
    </row>
    <row r="35" spans="1:7" ht="12.75">
      <c r="A35" s="82"/>
      <c r="B35" s="50" t="s">
        <v>50</v>
      </c>
      <c r="C35" s="30">
        <f>C34*(1-(A35/100))</f>
        <v>530.49176</v>
      </c>
      <c r="E35" s="74"/>
      <c r="F35" s="45" t="s">
        <v>25</v>
      </c>
      <c r="G35" s="46">
        <f>G33*(1+(E35/100))</f>
        <v>360</v>
      </c>
    </row>
    <row r="36" spans="1:7" ht="12.75">
      <c r="A36" s="23"/>
      <c r="B36" s="23"/>
      <c r="C36" s="24"/>
      <c r="E36" s="74"/>
      <c r="F36" s="47"/>
      <c r="G36" s="29"/>
    </row>
    <row r="37" spans="1:7" ht="12.75">
      <c r="A37" s="23"/>
      <c r="B37" s="57" t="s">
        <v>28</v>
      </c>
      <c r="C37" s="58">
        <f>C35</f>
        <v>530.49176</v>
      </c>
      <c r="E37" s="74"/>
      <c r="F37" s="48" t="s">
        <v>26</v>
      </c>
      <c r="G37" s="30">
        <f>G35*1.43</f>
        <v>514.8</v>
      </c>
    </row>
    <row r="38" spans="1:7" ht="12.75">
      <c r="A38" s="23"/>
      <c r="B38" s="59"/>
      <c r="C38" s="60"/>
      <c r="E38" s="74"/>
      <c r="F38" s="33"/>
      <c r="G38" s="35"/>
    </row>
    <row r="39" spans="1:7" ht="12.75">
      <c r="A39" s="23"/>
      <c r="B39" s="59" t="s">
        <v>29</v>
      </c>
      <c r="C39" s="60">
        <f>C37*1.25</f>
        <v>663.1147</v>
      </c>
      <c r="E39" s="74"/>
      <c r="F39" s="38" t="str">
        <f>IF(G39&gt;G37,"BANE TIL RÅDIGHED","OBS!!! OBS!!! BANE FOR KORT!!!")</f>
        <v>OBS!!! OBS!!! BANE FOR KORT!!!</v>
      </c>
      <c r="G39" s="97">
        <f>G6</f>
        <v>0</v>
      </c>
    </row>
    <row r="40" spans="1:7" ht="15.75">
      <c r="A40" s="23"/>
      <c r="B40" s="61" t="s">
        <v>27</v>
      </c>
      <c r="C40" s="62"/>
      <c r="E40" s="56" t="str">
        <f>IF(G39&lt;G37,"OBS!!!"," ")</f>
        <v>OBS!!!</v>
      </c>
      <c r="F40" s="56" t="str">
        <f>IF(G39&lt;G37,"BANE FOR KORT!!! DO NOT FLY!!!","Go Fly")</f>
        <v>BANE FOR KORT!!! DO NOT FLY!!!</v>
      </c>
      <c r="G40" s="67"/>
    </row>
    <row r="41" spans="1:7" ht="12.75">
      <c r="A41" s="23"/>
      <c r="B41" s="25" t="str">
        <f>IF(C39&lt;C41,"BANE TIL RÅDIGHED","OBS!!! OBS!!! BANE FOR KORT!!!!")</f>
        <v>BANE TIL RÅDIGHED</v>
      </c>
      <c r="C41" s="96">
        <f>C6</f>
        <v>1500</v>
      </c>
      <c r="G41" s="1"/>
    </row>
    <row r="42" spans="1:7" ht="15.75">
      <c r="A42" s="56" t="str">
        <f>IF(C41&lt;C39,"OBS!!!"," ")</f>
        <v> </v>
      </c>
      <c r="B42" s="56" t="str">
        <f>IF(C41&lt;C39,"BANE FOR KORT!!! DO NOT FLY!!!","Go Fly")</f>
        <v>Go Fly</v>
      </c>
      <c r="C42" s="56"/>
      <c r="G42" s="1"/>
    </row>
    <row r="43" spans="3:7" ht="12.75">
      <c r="C43" s="1"/>
      <c r="G43" s="1"/>
    </row>
    <row r="44" ht="12.75">
      <c r="G44" s="1"/>
    </row>
    <row r="45" spans="2:7" ht="12.75">
      <c r="B45" s="90" t="s">
        <v>4</v>
      </c>
      <c r="C45" s="86">
        <f>C46+(120*(C9-C47))</f>
        <v>181.03999999999996</v>
      </c>
      <c r="F45" s="92" t="s">
        <v>4</v>
      </c>
      <c r="G45" s="88">
        <f>G46+(120*(G9-G47))</f>
        <v>0</v>
      </c>
    </row>
    <row r="46" spans="2:7" ht="12.75">
      <c r="B46" s="91" t="s">
        <v>5</v>
      </c>
      <c r="C46" s="87">
        <f>C7+(27*(1013-C8))</f>
        <v>146</v>
      </c>
      <c r="F46" s="93" t="s">
        <v>5</v>
      </c>
      <c r="G46" s="89">
        <f>G7+(27*(1013-G8))</f>
        <v>0</v>
      </c>
    </row>
    <row r="47" spans="2:7" ht="14.25">
      <c r="B47" s="90" t="s">
        <v>6</v>
      </c>
      <c r="C47" s="86">
        <f>15-(C7/500)</f>
        <v>14.708</v>
      </c>
      <c r="F47" s="92" t="s">
        <v>6</v>
      </c>
      <c r="G47" s="88">
        <f>15-(G7/500)</f>
        <v>15</v>
      </c>
    </row>
    <row r="49" ht="12.75">
      <c r="B49" s="2" t="s">
        <v>55</v>
      </c>
    </row>
    <row r="50" ht="12.75">
      <c r="B50" t="s">
        <v>63</v>
      </c>
    </row>
    <row r="51" ht="12.75">
      <c r="B51" t="s">
        <v>71</v>
      </c>
    </row>
    <row r="52" ht="12.75">
      <c r="B52" t="s">
        <v>60</v>
      </c>
    </row>
    <row r="53" ht="12.75">
      <c r="B53" t="s">
        <v>51</v>
      </c>
    </row>
    <row r="54" spans="1:2" ht="12.75">
      <c r="A54" s="15"/>
      <c r="B54" t="s">
        <v>52</v>
      </c>
    </row>
    <row r="56" ht="12.75">
      <c r="B56" s="2" t="s">
        <v>56</v>
      </c>
    </row>
    <row r="57" ht="12.75">
      <c r="B57" t="s">
        <v>65</v>
      </c>
    </row>
    <row r="58" ht="12.75">
      <c r="B58" t="s">
        <v>54</v>
      </c>
    </row>
    <row r="63" spans="9:12" ht="12.75" hidden="1">
      <c r="I63" t="s">
        <v>66</v>
      </c>
      <c r="L63" s="1">
        <f>C10</f>
        <v>0</v>
      </c>
    </row>
    <row r="64" ht="12.75" hidden="1">
      <c r="A64" t="s">
        <v>61</v>
      </c>
    </row>
    <row r="65" ht="12.75" hidden="1"/>
    <row r="66" spans="1:9" ht="12.75" hidden="1">
      <c r="A66" s="3" t="s">
        <v>33</v>
      </c>
      <c r="B66" s="4"/>
      <c r="C66" s="4"/>
      <c r="D66" s="4"/>
      <c r="E66" s="4"/>
      <c r="F66" s="5" t="s">
        <v>34</v>
      </c>
      <c r="G66" s="4"/>
      <c r="H66" s="4"/>
      <c r="I66" s="6"/>
    </row>
    <row r="67" spans="1:9" ht="12.75" hidden="1">
      <c r="A67" s="7"/>
      <c r="B67" s="8"/>
      <c r="C67" s="8" t="s">
        <v>0</v>
      </c>
      <c r="D67" s="8"/>
      <c r="E67" s="8"/>
      <c r="F67" s="8"/>
      <c r="G67" s="8"/>
      <c r="H67" s="8" t="s">
        <v>0</v>
      </c>
      <c r="I67" s="9"/>
    </row>
    <row r="68" spans="1:9" ht="12.75" hidden="1">
      <c r="A68" s="10" t="s">
        <v>1</v>
      </c>
      <c r="B68" s="11">
        <f>'OY-BGW'!C45</f>
        <v>181.03999999999996</v>
      </c>
      <c r="C68" s="12">
        <f>IF(AND(B73&gt;=B68,B68&gt;=B72),(((C73-C72)/1000)*(B68))+C72,IF(AND(B74&gt;=B68,B68&gt;=B73),(((C74-C73)/1000)*(B68-1000))+C73,IF(AND(B75&gt;=B68,B68&gt;=B74),(((C75-C74)/1000)*(B68-B74))+C74,IF(AND(B76&gt;=B68,B68&gt;=B75),(((C76-C75)/1000)*(B68-B75))+C75,IF(AND(B77&gt;=B68,B68&gt;=B76),(((C77-C76)/1000)*(B68-B76))+C76,IF(AND(B78&gt;=B68,B68&gt;=B77),(((C78-C77)/1000)*(B68-B77))+C77,IF(AND(B79&gt;=B68,B68&gt;=B78),(((C79-C78)/1000)*(B68-B78))+C78,D68)))))))</f>
        <v>530.49176</v>
      </c>
      <c r="D68" s="12" t="str">
        <f>IF(B68&lt;0,C72,"UDENFOR TABEL !!!")</f>
        <v>UDENFOR TABEL !!!</v>
      </c>
      <c r="E68" s="12"/>
      <c r="F68" s="12" t="s">
        <v>1</v>
      </c>
      <c r="G68" s="11">
        <f>'OY-BGW'!G45</f>
        <v>0</v>
      </c>
      <c r="H68" s="12">
        <f>IF(AND(E73&gt;=G68,G68&gt;=E72),(((F73-F72)/1000)*(G68))+F72,IF(AND(E74&gt;=G68,G68&gt;=E73),(((F74-F73)/1000)*(G68-1000))+F73,IF(AND(E75&gt;=G68,G68&gt;=E74),(((F75-F74)/1000)*(G68-E74))+F74,IF(AND(E76&gt;=G68,G68&gt;=E75),(((F76-F75)/1000)*(G68-E75))+F75,IF(AND(E77&gt;=G68,G68&gt;=E76),(((F77-F76)/1000)*(G68-E76))+F76,IF(AND(E78&gt;=G68,G68&gt;=E77),(((F78-F77)/1000)*(G68-E77))+F77,IF(AND(E79&gt;=G68,G68&gt;=E78),(((F79-F78)/1000)*(G68-E78))+F78,I68)))))))</f>
        <v>360</v>
      </c>
      <c r="I68" s="12" t="str">
        <f>IF(G68&lt;0,F72,"UDENFOR TABEL !!!")</f>
        <v>UDENFOR TABEL !!!</v>
      </c>
    </row>
    <row r="69" spans="1:13" ht="12.75" hidden="1">
      <c r="A69" s="14"/>
      <c r="B69" s="14"/>
      <c r="C69" s="14"/>
      <c r="D69" s="14"/>
      <c r="E69" s="14"/>
      <c r="F69" s="14"/>
      <c r="G69" s="14"/>
      <c r="H69" s="14"/>
      <c r="I69" s="14"/>
      <c r="L69" t="s">
        <v>68</v>
      </c>
      <c r="M69" t="s">
        <v>69</v>
      </c>
    </row>
    <row r="70" spans="1:12" ht="12.75" hidden="1">
      <c r="A70" s="14"/>
      <c r="B70" s="3" t="s">
        <v>35</v>
      </c>
      <c r="C70" s="4"/>
      <c r="D70" s="4"/>
      <c r="E70" s="5" t="s">
        <v>36</v>
      </c>
      <c r="F70" s="6"/>
      <c r="G70" s="14"/>
      <c r="I70" t="s">
        <v>67</v>
      </c>
      <c r="J70" s="14">
        <v>975</v>
      </c>
      <c r="K70" s="14">
        <v>885</v>
      </c>
      <c r="L70">
        <f aca="true" t="shared" si="0" ref="L70:L79">J70-K70</f>
        <v>90</v>
      </c>
    </row>
    <row r="71" spans="1:12" ht="12.75" hidden="1">
      <c r="A71" s="14"/>
      <c r="B71" s="7" t="s">
        <v>2</v>
      </c>
      <c r="C71" s="8" t="s">
        <v>3</v>
      </c>
      <c r="D71" s="8"/>
      <c r="E71" s="8" t="s">
        <v>2</v>
      </c>
      <c r="F71" s="9" t="s">
        <v>3</v>
      </c>
      <c r="G71" s="14"/>
      <c r="J71" s="14"/>
      <c r="K71" s="14"/>
      <c r="L71">
        <f t="shared" si="0"/>
        <v>0</v>
      </c>
    </row>
    <row r="72" spans="1:13" ht="12.75" hidden="1">
      <c r="A72" s="14"/>
      <c r="B72" s="7">
        <v>0</v>
      </c>
      <c r="C72" s="8">
        <f aca="true" t="shared" si="1" ref="C72:C79">M72</f>
        <v>518</v>
      </c>
      <c r="D72" s="8"/>
      <c r="E72" s="8">
        <v>0</v>
      </c>
      <c r="F72" s="9">
        <v>360</v>
      </c>
      <c r="G72" s="14"/>
      <c r="J72" s="14">
        <v>518</v>
      </c>
      <c r="K72">
        <v>457</v>
      </c>
      <c r="L72">
        <f t="shared" si="0"/>
        <v>61</v>
      </c>
      <c r="M72">
        <f aca="true" t="shared" si="2" ref="M72:M79">IF(AND($J$70&gt;=$L$63,$K$70&lt;=$L$63),(($L$63-$K$70)*(L72/$L$70))+K72,IF($L$63&lt;$K$70,J72,"UDENFOR TABEL !!!"))</f>
        <v>518</v>
      </c>
    </row>
    <row r="73" spans="1:13" ht="12.75" hidden="1">
      <c r="A73" s="14"/>
      <c r="B73" s="7">
        <v>1000</v>
      </c>
      <c r="C73" s="8">
        <f t="shared" si="1"/>
        <v>587</v>
      </c>
      <c r="D73" s="8"/>
      <c r="E73" s="8">
        <v>1000</v>
      </c>
      <c r="F73" s="9">
        <v>363</v>
      </c>
      <c r="G73" s="14"/>
      <c r="J73" s="14">
        <v>587</v>
      </c>
      <c r="K73">
        <v>518</v>
      </c>
      <c r="L73">
        <f t="shared" si="0"/>
        <v>69</v>
      </c>
      <c r="M73">
        <f t="shared" si="2"/>
        <v>587</v>
      </c>
    </row>
    <row r="74" spans="1:13" ht="12.75" hidden="1">
      <c r="A74" s="14"/>
      <c r="B74" s="7">
        <v>2000</v>
      </c>
      <c r="C74" s="8">
        <f t="shared" si="1"/>
        <v>655</v>
      </c>
      <c r="D74" s="8"/>
      <c r="E74" s="8">
        <v>2000</v>
      </c>
      <c r="F74" s="9">
        <v>367</v>
      </c>
      <c r="G74" s="14"/>
      <c r="J74" s="14">
        <v>655</v>
      </c>
      <c r="K74">
        <v>579</v>
      </c>
      <c r="L74">
        <f t="shared" si="0"/>
        <v>76</v>
      </c>
      <c r="M74">
        <f t="shared" si="2"/>
        <v>655</v>
      </c>
    </row>
    <row r="75" spans="1:13" ht="12.75" hidden="1">
      <c r="A75" s="14"/>
      <c r="B75" s="7">
        <v>3000</v>
      </c>
      <c r="C75" s="8">
        <f t="shared" si="1"/>
        <v>739</v>
      </c>
      <c r="D75" s="8"/>
      <c r="E75" s="8">
        <v>3000</v>
      </c>
      <c r="F75" s="9">
        <v>370</v>
      </c>
      <c r="G75" s="14"/>
      <c r="J75" s="14">
        <v>739</v>
      </c>
      <c r="K75">
        <v>655</v>
      </c>
      <c r="L75">
        <f t="shared" si="0"/>
        <v>84</v>
      </c>
      <c r="M75">
        <f t="shared" si="2"/>
        <v>739</v>
      </c>
    </row>
    <row r="76" spans="1:13" ht="12.75" hidden="1">
      <c r="A76" s="14"/>
      <c r="B76" s="7">
        <v>4000</v>
      </c>
      <c r="C76" s="8">
        <f t="shared" si="1"/>
        <v>823</v>
      </c>
      <c r="D76" s="8"/>
      <c r="E76" s="8">
        <v>4000</v>
      </c>
      <c r="F76" s="9">
        <v>374</v>
      </c>
      <c r="G76" s="14"/>
      <c r="J76" s="14">
        <v>823</v>
      </c>
      <c r="K76">
        <v>724</v>
      </c>
      <c r="L76">
        <f t="shared" si="0"/>
        <v>99</v>
      </c>
      <c r="M76">
        <f t="shared" si="2"/>
        <v>823</v>
      </c>
    </row>
    <row r="77" spans="1:13" ht="12.75" hidden="1">
      <c r="A77" s="14"/>
      <c r="B77" s="7">
        <v>5000</v>
      </c>
      <c r="C77" s="8">
        <f t="shared" si="1"/>
        <v>922</v>
      </c>
      <c r="D77" s="8"/>
      <c r="E77" s="8">
        <v>5000</v>
      </c>
      <c r="F77" s="9">
        <v>377</v>
      </c>
      <c r="G77" s="14"/>
      <c r="J77" s="14">
        <v>922</v>
      </c>
      <c r="K77">
        <v>808</v>
      </c>
      <c r="L77">
        <f t="shared" si="0"/>
        <v>114</v>
      </c>
      <c r="M77">
        <f t="shared" si="2"/>
        <v>922</v>
      </c>
    </row>
    <row r="78" spans="1:13" ht="12.75" hidden="1">
      <c r="A78" s="14"/>
      <c r="B78" s="7">
        <v>6000</v>
      </c>
      <c r="C78" s="8">
        <f t="shared" si="1"/>
        <v>1029</v>
      </c>
      <c r="D78" s="8"/>
      <c r="E78" s="8">
        <v>6000</v>
      </c>
      <c r="F78" s="9">
        <v>381</v>
      </c>
      <c r="G78" s="14"/>
      <c r="J78" s="14">
        <v>1029</v>
      </c>
      <c r="K78">
        <v>907</v>
      </c>
      <c r="L78">
        <f t="shared" si="0"/>
        <v>122</v>
      </c>
      <c r="M78">
        <f t="shared" si="2"/>
        <v>1029</v>
      </c>
    </row>
    <row r="79" spans="1:13" ht="12.75" hidden="1">
      <c r="A79" s="14"/>
      <c r="B79" s="10">
        <v>7000</v>
      </c>
      <c r="C79" s="12">
        <f t="shared" si="1"/>
        <v>1158</v>
      </c>
      <c r="D79" s="12"/>
      <c r="E79" s="12">
        <v>7000</v>
      </c>
      <c r="F79" s="13">
        <v>384</v>
      </c>
      <c r="G79" s="14"/>
      <c r="J79" s="14">
        <v>1158</v>
      </c>
      <c r="K79">
        <v>1021</v>
      </c>
      <c r="L79">
        <f t="shared" si="0"/>
        <v>137</v>
      </c>
      <c r="M79">
        <f t="shared" si="2"/>
        <v>1158</v>
      </c>
    </row>
    <row r="80" ht="12.75" hidden="1"/>
    <row r="81" ht="12.75" hidden="1"/>
    <row r="82" ht="12.75" hidden="1"/>
    <row r="83" ht="12.75" hidden="1"/>
    <row r="84" ht="12.75" hidden="1">
      <c r="B84" t="s">
        <v>71</v>
      </c>
    </row>
  </sheetData>
  <sheetProtection password="82A7" sheet="1" objects="1" scenarios="1" selectLockedCells="1"/>
  <printOptions/>
  <pageMargins left="0.75" right="0.75" top="1" bottom="1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Trælasthandlerunionen - TUN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Palle Thomsen</dc:creator>
  <cp:keywords/>
  <dc:description/>
  <cp:lastModifiedBy>Palle Thomsen</cp:lastModifiedBy>
  <cp:lastPrinted>2006-11-06T11:24:01Z</cp:lastPrinted>
  <dcterms:created xsi:type="dcterms:W3CDTF">2006-11-03T12:09:43Z</dcterms:created>
  <dcterms:modified xsi:type="dcterms:W3CDTF">2006-11-07T09:19:06Z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